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4620" activeTab="0"/>
  </bookViews>
  <sheets>
    <sheet name="Income Information" sheetId="1" r:id="rId1"/>
    <sheet name="Assets, Liabilities &amp; Equity In" sheetId="2" r:id="rId2"/>
    <sheet name="Production for March" sheetId="3" r:id="rId3"/>
  </sheets>
  <definedNames/>
  <calcPr fullCalcOnLoad="1"/>
</workbook>
</file>

<file path=xl/sharedStrings.xml><?xml version="1.0" encoding="utf-8"?>
<sst xmlns="http://schemas.openxmlformats.org/spreadsheetml/2006/main" count="109" uniqueCount="97">
  <si>
    <t>Price/Unit</t>
  </si>
  <si>
    <t xml:space="preserve">  Mid-Grade</t>
  </si>
  <si>
    <t xml:space="preserve">  High-End</t>
  </si>
  <si>
    <t>Current</t>
  </si>
  <si>
    <t>Hi-Tech</t>
  </si>
  <si>
    <t>Direct Cost/Unit</t>
  </si>
  <si>
    <t xml:space="preserve">  Wages</t>
  </si>
  <si>
    <t>Plant Overhead/Yr</t>
  </si>
  <si>
    <t xml:space="preserve">  Utilities</t>
  </si>
  <si>
    <t xml:space="preserve">  Benefits</t>
  </si>
  <si>
    <t>Production</t>
  </si>
  <si>
    <t xml:space="preserve">  Insurance</t>
  </si>
  <si>
    <t xml:space="preserve">  Depreciation</t>
  </si>
  <si>
    <t xml:space="preserve">  Supplies</t>
  </si>
  <si>
    <t xml:space="preserve">  Broker</t>
  </si>
  <si>
    <t>Need to add a 45,000 a year maintenance position for the equipment</t>
  </si>
  <si>
    <t>Utilities are expected to be 3 x's current at full production (150% above current levels) based on units produced</t>
  </si>
  <si>
    <t>Benefits are 10% of all wages (including direct labor)</t>
  </si>
  <si>
    <t>Insurance will increase by 12,000 with the addition of the equipment and building expansion</t>
  </si>
  <si>
    <t xml:space="preserve">  Property Taxes</t>
  </si>
  <si>
    <t>Property taxes are 6.5%, assessment is 1% of original value, and that is on all plant/equipment</t>
  </si>
  <si>
    <t>Buildings are at 30 years and Equipment is at 10 years, straight line</t>
  </si>
  <si>
    <t>Supply expense is miscellaneous and does not vary</t>
  </si>
  <si>
    <t>Income Tax Expense</t>
  </si>
  <si>
    <t>Taxes are 42% of Net Income</t>
  </si>
  <si>
    <t>Prices are reduced by 10% because supply is increased</t>
  </si>
  <si>
    <t>The Broker cost for Mid-Grade is based on net FOB destination including shipping/tariffs</t>
  </si>
  <si>
    <t>Production can be increased by 50% and the broker also anticipates that same level</t>
  </si>
  <si>
    <t>Production can be increased by 50%</t>
  </si>
  <si>
    <t>There are no material costs for brokered units</t>
  </si>
  <si>
    <t>The labor rate is increased due to the technical skill level of operators</t>
  </si>
  <si>
    <t>There are no labor times for brokered units and production times are 20% of original times</t>
  </si>
  <si>
    <t>Production times are now equal to the mid-grade level</t>
  </si>
  <si>
    <t>Cash</t>
  </si>
  <si>
    <t>Inventory</t>
  </si>
  <si>
    <t>Pre-paid Insurance</t>
  </si>
  <si>
    <t>TOTAL CURRENT ASSETS</t>
  </si>
  <si>
    <t>Buildings</t>
  </si>
  <si>
    <t>Less: Accumulated Depreciation</t>
  </si>
  <si>
    <t>Equipment</t>
  </si>
  <si>
    <t>TOTAL ASSETS</t>
  </si>
  <si>
    <t>Accounts Payable</t>
  </si>
  <si>
    <t>Accounts Receivable</t>
  </si>
  <si>
    <t>Wages Payable</t>
  </si>
  <si>
    <t>The plant completes all work-in-process before year end inventory</t>
  </si>
  <si>
    <t>Current Portion of Notes Payable</t>
  </si>
  <si>
    <t>Mortgage Note Payable</t>
  </si>
  <si>
    <t>TOTAL CURRENT LIABILITIES</t>
  </si>
  <si>
    <t>TOTAL LIABILITIES</t>
  </si>
  <si>
    <t>Common Stock</t>
  </si>
  <si>
    <t>Retained Earnings</t>
  </si>
  <si>
    <t>TOTAL EQUITY</t>
  </si>
  <si>
    <t>TOTAL LIABILITIES &amp; EQUITY</t>
  </si>
  <si>
    <t>Current Building has been in use for 13 years</t>
  </si>
  <si>
    <t>Building was financed Jan 1, 12 years ago at 7.5% and 80% LTV</t>
  </si>
  <si>
    <t>Wages are two weeks</t>
  </si>
  <si>
    <t>A/P represents 2 months of purchases &amp; 1 month of bills &amp; Prop Tax</t>
  </si>
  <si>
    <t>Income Taxes Payable</t>
  </si>
  <si>
    <t>All timing issues wash out (for simplicity)</t>
  </si>
  <si>
    <t>No Par Value 10,000 shares</t>
  </si>
  <si>
    <t>Equipment fully depreciated several years ago</t>
  </si>
  <si>
    <t>1/2 a year pre-paid</t>
  </si>
  <si>
    <t>DSO = 45 days</t>
  </si>
  <si>
    <t>Sales growth has slowed to 1%</t>
  </si>
  <si>
    <t>Inflation is running at 3%</t>
  </si>
  <si>
    <t>10.814 Mexican Pesos = 1.000 US Dollars</t>
  </si>
  <si>
    <t>Peso? (1=Yes)</t>
  </si>
  <si>
    <t>Net Margins</t>
  </si>
  <si>
    <t>Overhead</t>
  </si>
  <si>
    <t>Net Income before taxes</t>
  </si>
  <si>
    <t>Brian Lindquist</t>
  </si>
  <si>
    <t>Setup Information</t>
  </si>
  <si>
    <t>Direct Materials ($)/Unit</t>
  </si>
  <si>
    <t>Direct Labor ($/HR)/Unit</t>
  </si>
  <si>
    <t>Labor Time (Hrs)/Unit</t>
  </si>
  <si>
    <t>Income Information</t>
  </si>
  <si>
    <t>Assets, Liabilities &amp; Equity Information</t>
  </si>
  <si>
    <t>Direct Cost</t>
  </si>
  <si>
    <t>Total</t>
  </si>
  <si>
    <t xml:space="preserve">  Mid-Grade (per unit)</t>
  </si>
  <si>
    <t xml:space="preserve">  High-End  (per unit)</t>
  </si>
  <si>
    <t>Wood</t>
  </si>
  <si>
    <t>Materials</t>
  </si>
  <si>
    <t>Foam</t>
  </si>
  <si>
    <t>Chem A</t>
  </si>
  <si>
    <t>Chem B</t>
  </si>
  <si>
    <t>Chem C</t>
  </si>
  <si>
    <t xml:space="preserve">  Flame Retardent</t>
  </si>
  <si>
    <t xml:space="preserve">  Coating (per liter)</t>
  </si>
  <si>
    <t xml:space="preserve">  Flame Retardent (per liter)</t>
  </si>
  <si>
    <t>Alternative Coating (per liter)</t>
  </si>
  <si>
    <t>Market Price of Flame Retardent (per liter)</t>
  </si>
  <si>
    <t>Production Data</t>
  </si>
  <si>
    <t>Liters of Coating per year</t>
  </si>
  <si>
    <t>Liters of Flame retardent per year</t>
  </si>
  <si>
    <t>Plant Capacity</t>
  </si>
  <si>
    <t xml:space="preserve">  Coating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</si>
</sst>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_);_(@_)"/>
    <numFmt numFmtId="168" formatCode="0.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36">
    <font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 horizontal="center"/>
    </xf>
    <xf numFmtId="165" fontId="0" fillId="0" borderId="0" xfId="42" applyNumberFormat="1" applyFont="1" applyAlignment="1">
      <alignment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42" applyNumberFormat="1" applyFont="1" applyAlignment="1">
      <alignment/>
    </xf>
    <xf numFmtId="1" fontId="0" fillId="0" borderId="0" xfId="42" applyNumberFormat="1" applyFont="1" applyAlignment="1">
      <alignment horizontal="center"/>
    </xf>
    <xf numFmtId="170" fontId="0" fillId="0" borderId="0" xfId="44" applyNumberFormat="1" applyFont="1" applyAlignment="1">
      <alignment/>
    </xf>
    <xf numFmtId="165" fontId="0" fillId="0" borderId="10" xfId="42" applyNumberFormat="1" applyFont="1" applyBorder="1" applyAlignment="1">
      <alignment/>
    </xf>
    <xf numFmtId="170" fontId="0" fillId="0" borderId="11" xfId="44" applyNumberFormat="1" applyFont="1" applyBorder="1" applyAlignment="1">
      <alignment/>
    </xf>
    <xf numFmtId="170" fontId="0" fillId="0" borderId="12" xfId="44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1.00390625" style="0" bestFit="1" customWidth="1"/>
    <col min="2" max="2" width="10.28125" style="1" bestFit="1" customWidth="1"/>
    <col min="3" max="4" width="9.28125" style="1" bestFit="1" customWidth="1"/>
    <col min="5" max="5" width="94.8515625" style="0" bestFit="1" customWidth="1"/>
  </cols>
  <sheetData>
    <row r="1" spans="1:5" ht="12">
      <c r="A1" s="14" t="s">
        <v>71</v>
      </c>
      <c r="B1" s="14"/>
      <c r="C1" s="14"/>
      <c r="D1" s="14"/>
      <c r="E1" s="14"/>
    </row>
    <row r="2" spans="1:5" ht="12">
      <c r="A2" s="4"/>
      <c r="B2" s="4"/>
      <c r="C2" s="4"/>
      <c r="D2" s="4"/>
      <c r="E2" s="4"/>
    </row>
    <row r="3" spans="1:4" ht="12">
      <c r="A3" s="6" t="s">
        <v>70</v>
      </c>
      <c r="D3" s="1">
        <f>((CODE(A3)-LEN(A3))/CODE(A3))*IF(LEN(A3)&lt;10,-1,1)*0.1</f>
        <v>0.07727272727272727</v>
      </c>
    </row>
    <row r="4" spans="1:7" ht="12">
      <c r="A4" s="1" t="s">
        <v>66</v>
      </c>
      <c r="B4">
        <v>0</v>
      </c>
      <c r="D4" s="7">
        <f>IF(B4=1,10.814,1)</f>
        <v>1</v>
      </c>
      <c r="E4" s="3" t="s">
        <v>65</v>
      </c>
      <c r="F4" s="3"/>
      <c r="G4" s="1"/>
    </row>
    <row r="5" spans="1:7" ht="12">
      <c r="A5" s="1"/>
      <c r="B5"/>
      <c r="D5" s="7"/>
      <c r="E5" s="3"/>
      <c r="F5" s="3"/>
      <c r="G5" s="1"/>
    </row>
    <row r="6" spans="1:7" ht="12">
      <c r="A6" s="14" t="s">
        <v>75</v>
      </c>
      <c r="B6" s="14"/>
      <c r="C6" s="14"/>
      <c r="D6" s="14"/>
      <c r="E6" s="14"/>
      <c r="F6" s="13"/>
      <c r="G6" s="13"/>
    </row>
    <row r="8" spans="2:4" ht="12">
      <c r="B8" s="2" t="s">
        <v>3</v>
      </c>
      <c r="C8" s="2" t="s">
        <v>4</v>
      </c>
      <c r="D8" s="2" t="s">
        <v>14</v>
      </c>
    </row>
    <row r="9" spans="1:4" ht="12">
      <c r="A9" t="s">
        <v>10</v>
      </c>
      <c r="B9" s="2"/>
      <c r="C9" s="2"/>
      <c r="D9" s="2"/>
    </row>
    <row r="10" spans="1:5" ht="12">
      <c r="A10" t="s">
        <v>1</v>
      </c>
      <c r="B10" s="2">
        <f>ROUND(2400*(1+D3),0)</f>
        <v>2585</v>
      </c>
      <c r="C10" s="2">
        <f>ROUND(1.5*B10,0)</f>
        <v>3878</v>
      </c>
      <c r="D10" s="2">
        <f>C10</f>
        <v>3878</v>
      </c>
      <c r="E10" t="s">
        <v>27</v>
      </c>
    </row>
    <row r="11" spans="1:5" ht="12">
      <c r="A11" t="s">
        <v>2</v>
      </c>
      <c r="B11" s="2">
        <f>ROUND(480*(1+D3),0)</f>
        <v>517</v>
      </c>
      <c r="C11" s="2">
        <f>ROUND(1.5*B11,0)</f>
        <v>776</v>
      </c>
      <c r="D11" s="2">
        <f>C11</f>
        <v>776</v>
      </c>
      <c r="E11" t="s">
        <v>28</v>
      </c>
    </row>
    <row r="12" spans="2:4" ht="12">
      <c r="B12" s="2"/>
      <c r="C12" s="2"/>
      <c r="D12" s="2"/>
    </row>
    <row r="13" ht="12">
      <c r="A13" t="s">
        <v>72</v>
      </c>
    </row>
    <row r="14" spans="1:5" ht="12">
      <c r="A14" t="s">
        <v>1</v>
      </c>
      <c r="B14" s="1">
        <f>140*$D$4</f>
        <v>140</v>
      </c>
      <c r="C14" s="1">
        <f>B14</f>
        <v>140</v>
      </c>
      <c r="E14" t="s">
        <v>29</v>
      </c>
    </row>
    <row r="15" spans="1:4" ht="12">
      <c r="A15" t="s">
        <v>2</v>
      </c>
      <c r="B15" s="1">
        <f>250*$D$4</f>
        <v>250</v>
      </c>
      <c r="C15" s="1">
        <f>B15</f>
        <v>250</v>
      </c>
      <c r="D15" s="1">
        <f>C15</f>
        <v>250</v>
      </c>
    </row>
    <row r="17" spans="1:5" ht="12">
      <c r="A17" t="s">
        <v>73</v>
      </c>
      <c r="B17" s="1">
        <f>15*$D$4</f>
        <v>15</v>
      </c>
      <c r="C17" s="1">
        <f>40*$D$4</f>
        <v>40</v>
      </c>
      <c r="D17" s="1">
        <f>C17</f>
        <v>40</v>
      </c>
      <c r="E17" t="s">
        <v>30</v>
      </c>
    </row>
    <row r="19" ht="12">
      <c r="A19" t="s">
        <v>74</v>
      </c>
    </row>
    <row r="20" spans="1:5" ht="12">
      <c r="A20" t="s">
        <v>1</v>
      </c>
      <c r="B20" s="1">
        <v>20</v>
      </c>
      <c r="C20" s="1">
        <f>1/5*B20</f>
        <v>4</v>
      </c>
      <c r="E20" t="s">
        <v>31</v>
      </c>
    </row>
    <row r="21" spans="1:5" ht="12">
      <c r="A21" t="s">
        <v>2</v>
      </c>
      <c r="B21" s="1">
        <v>30</v>
      </c>
      <c r="C21" s="1">
        <f>C20</f>
        <v>4</v>
      </c>
      <c r="D21" s="1">
        <v>4</v>
      </c>
      <c r="E21" t="s">
        <v>32</v>
      </c>
    </row>
    <row r="23" ht="12">
      <c r="A23" t="s">
        <v>5</v>
      </c>
    </row>
    <row r="24" spans="1:5" ht="12">
      <c r="A24" t="s">
        <v>1</v>
      </c>
      <c r="B24" s="1">
        <f>B14+B17*B20</f>
        <v>440</v>
      </c>
      <c r="C24" s="1">
        <f>C14+C17*C20</f>
        <v>300</v>
      </c>
      <c r="D24" s="1">
        <f>360*$D$4</f>
        <v>360</v>
      </c>
      <c r="E24" t="s">
        <v>26</v>
      </c>
    </row>
    <row r="25" spans="1:4" ht="12">
      <c r="A25" t="s">
        <v>2</v>
      </c>
      <c r="B25" s="1">
        <f>B15+B17*B21</f>
        <v>700</v>
      </c>
      <c r="C25" s="1">
        <f>C15+C17*C21</f>
        <v>410</v>
      </c>
      <c r="D25" s="1">
        <f>C25</f>
        <v>410</v>
      </c>
    </row>
    <row r="27" ht="12">
      <c r="A27" t="s">
        <v>0</v>
      </c>
    </row>
    <row r="28" spans="1:5" ht="12">
      <c r="A28" t="s">
        <v>1</v>
      </c>
      <c r="B28" s="1">
        <f>ROUND(1.15*B24,-1)-1</f>
        <v>509</v>
      </c>
      <c r="C28" s="1">
        <f>ROUND(B28*0.9,-1)-1</f>
        <v>459</v>
      </c>
      <c r="D28" s="1">
        <f>C28</f>
        <v>459</v>
      </c>
      <c r="E28" t="s">
        <v>25</v>
      </c>
    </row>
    <row r="29" spans="1:5" ht="12">
      <c r="A29" t="s">
        <v>2</v>
      </c>
      <c r="B29" s="1">
        <f>ROUND(1.25*B25,-1)-1</f>
        <v>879</v>
      </c>
      <c r="C29" s="1">
        <f>ROUND(B29*0.9,-1)-1</f>
        <v>789</v>
      </c>
      <c r="D29" s="1">
        <f>C29</f>
        <v>789</v>
      </c>
      <c r="E29" t="s">
        <v>25</v>
      </c>
    </row>
    <row r="31" ht="12">
      <c r="A31" t="s">
        <v>7</v>
      </c>
    </row>
    <row r="32" spans="1:5" ht="12">
      <c r="A32" t="s">
        <v>6</v>
      </c>
      <c r="B32" s="3">
        <f>50000*$D$4</f>
        <v>50000</v>
      </c>
      <c r="C32" s="3">
        <f>B32+45000*$D$4</f>
        <v>95000</v>
      </c>
      <c r="D32" s="3">
        <f>C32</f>
        <v>95000</v>
      </c>
      <c r="E32" t="s">
        <v>15</v>
      </c>
    </row>
    <row r="33" spans="1:5" ht="12">
      <c r="A33" t="s">
        <v>8</v>
      </c>
      <c r="B33" s="5">
        <f>750*12*IF(B4=1,10.814,1)</f>
        <v>9000</v>
      </c>
      <c r="C33" s="3">
        <f>B33*3</f>
        <v>27000</v>
      </c>
      <c r="D33" s="3">
        <f>C33*(D11/(C10+C11))</f>
        <v>4501.933820369574</v>
      </c>
      <c r="E33" t="s">
        <v>16</v>
      </c>
    </row>
    <row r="34" spans="1:5" ht="12">
      <c r="A34" t="s">
        <v>9</v>
      </c>
      <c r="B34" s="3">
        <f>(B10*B20*B17+B11*B17*B21+B32)*0.1</f>
        <v>105815</v>
      </c>
      <c r="C34" s="3">
        <f>(C10*C20*C17+C11*C17*C21+C32)*0.1</f>
        <v>83964</v>
      </c>
      <c r="D34" s="3">
        <f>(D11*D17*D21+D32)*0.1</f>
        <v>21916</v>
      </c>
      <c r="E34" t="s">
        <v>17</v>
      </c>
    </row>
    <row r="35" spans="1:5" ht="12">
      <c r="A35" t="s">
        <v>11</v>
      </c>
      <c r="B35" s="3">
        <f>3000*$D$4</f>
        <v>3000</v>
      </c>
      <c r="C35" s="3">
        <f>15000*$D$4</f>
        <v>15000</v>
      </c>
      <c r="D35" s="3">
        <f>C35</f>
        <v>15000</v>
      </c>
      <c r="E35" t="s">
        <v>18</v>
      </c>
    </row>
    <row r="36" spans="1:5" ht="12">
      <c r="A36" t="s">
        <v>19</v>
      </c>
      <c r="B36" s="3">
        <f>1500000*0.01*0.065*$D$4</f>
        <v>975</v>
      </c>
      <c r="C36" s="3">
        <f>6000000*0.01*0.065*$D$4</f>
        <v>3900</v>
      </c>
      <c r="D36" s="3">
        <f>C36</f>
        <v>3900</v>
      </c>
      <c r="E36" t="s">
        <v>20</v>
      </c>
    </row>
    <row r="37" spans="1:5" ht="12">
      <c r="A37" t="s">
        <v>12</v>
      </c>
      <c r="B37" s="3">
        <f>1500000/30*$D$4</f>
        <v>50000</v>
      </c>
      <c r="C37" s="3">
        <f>(1500000/30+500000/30+4000000/10)*$D$4</f>
        <v>466666.6666666667</v>
      </c>
      <c r="D37" s="3">
        <f>C37</f>
        <v>466666.6666666667</v>
      </c>
      <c r="E37" t="s">
        <v>21</v>
      </c>
    </row>
    <row r="38" spans="1:5" ht="12">
      <c r="A38" t="s">
        <v>13</v>
      </c>
      <c r="B38" s="3">
        <f>6000*$D$4</f>
        <v>6000</v>
      </c>
      <c r="C38" s="3">
        <f>B38</f>
        <v>6000</v>
      </c>
      <c r="D38" s="3">
        <f>C38</f>
        <v>6000</v>
      </c>
      <c r="E38" t="s">
        <v>22</v>
      </c>
    </row>
    <row r="39" spans="2:4" ht="12">
      <c r="B39" s="3"/>
      <c r="C39" s="3"/>
      <c r="D39" s="3"/>
    </row>
    <row r="40" spans="1:5" ht="12">
      <c r="A40" t="s">
        <v>23</v>
      </c>
      <c r="B40" s="3">
        <f>B44*0.42</f>
        <v>19369.559999999998</v>
      </c>
      <c r="C40" s="3">
        <f>C44*0.42</f>
        <v>89533.63999999997</v>
      </c>
      <c r="D40" s="3">
        <f>D44*0.42</f>
        <v>27317.38779544476</v>
      </c>
      <c r="E40" t="s">
        <v>24</v>
      </c>
    </row>
    <row r="41" spans="2:4" ht="12">
      <c r="B41" s="3"/>
      <c r="C41" s="3"/>
      <c r="D41" s="3"/>
    </row>
    <row r="42" spans="2:5" ht="12">
      <c r="B42" s="3">
        <f>B10*(B28-B24)+B11*(B29-B25)</f>
        <v>270908</v>
      </c>
      <c r="C42" s="3">
        <f>C10*(C28-C24)+C11*(C29-C25)</f>
        <v>910706</v>
      </c>
      <c r="D42" s="3">
        <f>D10*(D28-D24)+D11*(D29-D25)</f>
        <v>678026</v>
      </c>
      <c r="E42" t="s">
        <v>67</v>
      </c>
    </row>
    <row r="43" spans="2:5" ht="12">
      <c r="B43" s="3">
        <f>SUM(B32:B38)</f>
        <v>224790</v>
      </c>
      <c r="C43" s="3">
        <f>SUM(C32:C38)</f>
        <v>697530.6666666667</v>
      </c>
      <c r="D43" s="3">
        <f>SUM(D32:D38)</f>
        <v>612984.6004870363</v>
      </c>
      <c r="E43" t="s">
        <v>68</v>
      </c>
    </row>
    <row r="44" spans="2:5" ht="12">
      <c r="B44" s="3">
        <f>B42-B43</f>
        <v>46118</v>
      </c>
      <c r="C44" s="3">
        <f>C42-C43</f>
        <v>213175.33333333326</v>
      </c>
      <c r="D44" s="3">
        <f>D42-D43</f>
        <v>65041.39951296372</v>
      </c>
      <c r="E44" t="s">
        <v>69</v>
      </c>
    </row>
    <row r="46" spans="2:3" ht="12">
      <c r="B46" s="3"/>
      <c r="C46" s="3"/>
    </row>
    <row r="48" spans="2:3" ht="12">
      <c r="B48" s="3"/>
      <c r="C48" s="3"/>
    </row>
    <row r="49" spans="2:3" ht="12">
      <c r="B49" s="3"/>
      <c r="C49" s="3"/>
    </row>
    <row r="50" spans="2:3" ht="12">
      <c r="B50" s="3"/>
      <c r="C50" s="3"/>
    </row>
    <row r="51" spans="2:3" ht="12">
      <c r="B51" s="3"/>
      <c r="C51" s="3"/>
    </row>
    <row r="52" spans="2:3" ht="12">
      <c r="B52" s="3"/>
      <c r="C52" s="3"/>
    </row>
  </sheetData>
  <sheetProtection/>
  <mergeCells count="2">
    <mergeCell ref="A6:E6"/>
    <mergeCell ref="A1:E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8.7109375" style="0" bestFit="1" customWidth="1"/>
    <col min="2" max="2" width="11.28125" style="3" bestFit="1" customWidth="1"/>
    <col min="3" max="3" width="6.00390625" style="3" bestFit="1" customWidth="1"/>
    <col min="4" max="4" width="11.28125" style="0" bestFit="1" customWidth="1"/>
    <col min="5" max="5" width="6.00390625" style="0" bestFit="1" customWidth="1"/>
    <col min="6" max="6" width="59.421875" style="0" bestFit="1" customWidth="1"/>
    <col min="7" max="7" width="27.57421875" style="0" bestFit="1" customWidth="1"/>
  </cols>
  <sheetData>
    <row r="1" spans="1:7" ht="12">
      <c r="A1" s="14" t="s">
        <v>76</v>
      </c>
      <c r="B1" s="14"/>
      <c r="C1" s="14"/>
      <c r="D1" s="14"/>
      <c r="E1" s="14"/>
      <c r="F1" s="14"/>
      <c r="G1" s="14"/>
    </row>
    <row r="3" spans="2:5" ht="12">
      <c r="B3" s="8" t="str">
        <f ca="1">"12/31/"&amp;YEAR(TODAY())-2</f>
        <v>12/31/2014</v>
      </c>
      <c r="C3" s="8"/>
      <c r="D3" s="8" t="str">
        <f ca="1">"12/31/"&amp;YEAR(TODAY())-1</f>
        <v>12/31/2015</v>
      </c>
      <c r="E3" s="8"/>
    </row>
    <row r="5" spans="1:5" ht="12">
      <c r="A5" t="s">
        <v>33</v>
      </c>
      <c r="B5" s="9">
        <f>120872*'Income Information'!$D$4</f>
        <v>120872</v>
      </c>
      <c r="C5" s="3" t="str">
        <f>IF('Income Information'!$B$4=1,"MXN","USD")</f>
        <v>USD</v>
      </c>
      <c r="D5" s="9">
        <f>D29-SUM(D6:D8)-SUM(D11:D14)</f>
        <v>167991.42173368775</v>
      </c>
      <c r="E5" s="3" t="str">
        <f>IF('Income Information'!$B$4=1,"MXN","USD")</f>
        <v>USD</v>
      </c>
    </row>
    <row r="6" spans="1:7" ht="12">
      <c r="A6" t="s">
        <v>42</v>
      </c>
      <c r="B6" s="3">
        <f>('Income Information'!B10*'Income Information'!B28/12+'Income Information'!B11*'Income Information'!B25/12)*1.5*0.98</f>
        <v>205513.9625</v>
      </c>
      <c r="D6" s="3">
        <f>B6/0.98</f>
        <v>209708.125</v>
      </c>
      <c r="E6" s="3"/>
      <c r="F6" t="s">
        <v>62</v>
      </c>
      <c r="G6" t="s">
        <v>63</v>
      </c>
    </row>
    <row r="7" spans="1:7" ht="12">
      <c r="A7" t="s">
        <v>34</v>
      </c>
      <c r="B7" s="3">
        <f>'Income Information'!B10/12*'Income Information'!B24*0.97+'Income Information'!B11/12*'Income Information'!B25*0.97</f>
        <v>121193.41666666666</v>
      </c>
      <c r="D7" s="3">
        <f>B7/0.97</f>
        <v>124941.66666666666</v>
      </c>
      <c r="E7" s="3"/>
      <c r="F7" t="s">
        <v>44</v>
      </c>
      <c r="G7" t="s">
        <v>64</v>
      </c>
    </row>
    <row r="8" spans="1:6" ht="12">
      <c r="A8" t="s">
        <v>35</v>
      </c>
      <c r="B8" s="10">
        <f>0.5*'Income Information'!B35-250*'Income Information'!$D$4</f>
        <v>1250</v>
      </c>
      <c r="D8" s="10">
        <f>B8+250*'Income Information'!$D$4</f>
        <v>1500</v>
      </c>
      <c r="E8" s="3"/>
      <c r="F8" t="s">
        <v>61</v>
      </c>
    </row>
    <row r="9" spans="1:5" ht="12">
      <c r="A9" t="s">
        <v>36</v>
      </c>
      <c r="B9" s="9">
        <f>SUM(B5:B8)</f>
        <v>448829.37916666665</v>
      </c>
      <c r="C9" s="3" t="str">
        <f>IF('Income Information'!$B$4=1,"MXN","USD")</f>
        <v>USD</v>
      </c>
      <c r="D9" s="9">
        <f>SUM(D5:D8)</f>
        <v>504141.2134003544</v>
      </c>
      <c r="E9" s="3" t="str">
        <f>IF('Income Information'!$B$4=1,"MXN","USD")</f>
        <v>USD</v>
      </c>
    </row>
    <row r="10" spans="4:5" ht="12">
      <c r="D10" s="3"/>
      <c r="E10" s="3"/>
    </row>
    <row r="11" spans="1:5" ht="12">
      <c r="A11" t="s">
        <v>37</v>
      </c>
      <c r="B11" s="3">
        <f>1500000*'Income Information'!$D$4</f>
        <v>1500000</v>
      </c>
      <c r="D11" s="3">
        <f>B11</f>
        <v>1500000</v>
      </c>
      <c r="E11" s="3"/>
    </row>
    <row r="12" spans="1:6" ht="12">
      <c r="A12" t="s">
        <v>38</v>
      </c>
      <c r="B12" s="3">
        <f>-B11/30*12</f>
        <v>-600000</v>
      </c>
      <c r="D12" s="3">
        <f>B12-D11/30</f>
        <v>-650000</v>
      </c>
      <c r="E12" s="3"/>
      <c r="F12" t="s">
        <v>53</v>
      </c>
    </row>
    <row r="13" spans="1:5" ht="12">
      <c r="A13" t="s">
        <v>39</v>
      </c>
      <c r="B13" s="3">
        <f>50000*'Income Information'!$D$4</f>
        <v>50000</v>
      </c>
      <c r="D13" s="3">
        <f>B13</f>
        <v>50000</v>
      </c>
      <c r="E13" s="3"/>
    </row>
    <row r="14" spans="1:6" ht="12">
      <c r="A14" t="s">
        <v>38</v>
      </c>
      <c r="B14" s="3">
        <f>-B13</f>
        <v>-50000</v>
      </c>
      <c r="D14" s="3">
        <f>B14</f>
        <v>-50000</v>
      </c>
      <c r="E14" s="3"/>
      <c r="F14" t="s">
        <v>60</v>
      </c>
    </row>
    <row r="15" spans="1:5" ht="12.75" thickBot="1">
      <c r="A15" t="s">
        <v>40</v>
      </c>
      <c r="B15" s="11">
        <f>SUM(B9:B14)</f>
        <v>1348829.3791666667</v>
      </c>
      <c r="C15" s="3" t="str">
        <f>IF('Income Information'!$B$4=1,"MXN","USD")</f>
        <v>USD</v>
      </c>
      <c r="D15" s="11">
        <f>SUM(D9:D14)</f>
        <v>1354141.2134003544</v>
      </c>
      <c r="E15" s="3" t="str">
        <f>IF('Income Information'!$B$4=1,"MXN","USD")</f>
        <v>USD</v>
      </c>
    </row>
    <row r="16" spans="4:5" ht="12.75" thickTop="1">
      <c r="D16" s="3"/>
      <c r="E16" s="3"/>
    </row>
    <row r="17" spans="1:6" ht="12">
      <c r="A17" t="s">
        <v>41</v>
      </c>
      <c r="B17" s="9">
        <f>(('Income Information'!B10*'Income Information'!B14/12+'Income Information'!B11*'Income Information'!B15/12)*2+('Income Information'!B33+'Income Information'!B38)/12+'Income Information'!B36)*0.97</f>
        <v>81560.83333333333</v>
      </c>
      <c r="C17" s="3" t="str">
        <f>IF('Income Information'!$B$4=1,"MXN","USD")</f>
        <v>USD</v>
      </c>
      <c r="D17" s="9">
        <f>B17/0.97</f>
        <v>84083.33333333333</v>
      </c>
      <c r="E17" s="3" t="str">
        <f>IF('Income Information'!$B$4=1,"MXN","USD")</f>
        <v>USD</v>
      </c>
      <c r="F17" t="s">
        <v>56</v>
      </c>
    </row>
    <row r="18" spans="1:6" ht="12">
      <c r="A18" t="s">
        <v>57</v>
      </c>
      <c r="B18" s="3">
        <f>'Income Information'!B40*0.95</f>
        <v>18401.082</v>
      </c>
      <c r="D18" s="3">
        <f>B18/0.95</f>
        <v>19369.559999999998</v>
      </c>
      <c r="E18" s="3"/>
      <c r="F18" t="s">
        <v>58</v>
      </c>
    </row>
    <row r="19" spans="1:6" ht="12">
      <c r="A19" t="s">
        <v>43</v>
      </c>
      <c r="B19" s="3">
        <f>'Income Information'!B34/0.1/12/2*0.95</f>
        <v>41885.104166666664</v>
      </c>
      <c r="D19" s="3">
        <f>B19/0.95</f>
        <v>44089.583333333336</v>
      </c>
      <c r="E19" s="3"/>
      <c r="F19" t="s">
        <v>55</v>
      </c>
    </row>
    <row r="20" spans="1:5" ht="12">
      <c r="A20" t="s">
        <v>45</v>
      </c>
      <c r="B20" s="10">
        <f>PV(0.075/12,360-144,PMT(0.075/12,360,B11*0.8))-PV(0.075/12,360-144-12,PMT(0.075/12,360,B11*0.8))</f>
        <v>27132.06293297885</v>
      </c>
      <c r="D20" s="10">
        <f>PV(0.075/12,360-156,PMT(0.075/12,360,B11*0.8))-PV(0.075/12,360-156-12,PMT(0.075/12,360,B11*0.8))</f>
        <v>29238.395490791183</v>
      </c>
      <c r="E20" s="3"/>
    </row>
    <row r="21" spans="1:5" ht="12">
      <c r="A21" t="s">
        <v>47</v>
      </c>
      <c r="B21" s="9">
        <f>SUM(B17:B20)</f>
        <v>168979.08243297884</v>
      </c>
      <c r="C21" s="3" t="str">
        <f>IF('Income Information'!$B$4=1,"MXN","USD")</f>
        <v>USD</v>
      </c>
      <c r="D21" s="9">
        <f>SUM(D17:D20)</f>
        <v>176780.87215745784</v>
      </c>
      <c r="E21" s="3" t="str">
        <f>IF('Income Information'!$B$4=1,"MXN","USD")</f>
        <v>USD</v>
      </c>
    </row>
    <row r="22" spans="4:5" ht="12">
      <c r="D22" s="3"/>
      <c r="E22" s="3"/>
    </row>
    <row r="23" spans="1:6" ht="12">
      <c r="A23" t="s">
        <v>46</v>
      </c>
      <c r="B23" s="10">
        <f>PV(0.075/12,360-144,PMT(0.075/12,360,B11*0.8))-B20</f>
        <v>965866.6252473323</v>
      </c>
      <c r="D23" s="10">
        <f>PV(0.075/12,360-156,PMT(0.075/12,360,B11*0.8))-D20</f>
        <v>936628.2297565411</v>
      </c>
      <c r="E23" s="3"/>
      <c r="F23" t="s">
        <v>54</v>
      </c>
    </row>
    <row r="24" spans="1:5" ht="12.75" thickBot="1">
      <c r="A24" t="s">
        <v>48</v>
      </c>
      <c r="B24" s="12">
        <f>B21+B23</f>
        <v>1134845.707680311</v>
      </c>
      <c r="C24" s="3" t="str">
        <f>IF('Income Information'!$B$4=1,"MXN","USD")</f>
        <v>USD</v>
      </c>
      <c r="D24" s="12">
        <f>D21+D23</f>
        <v>1113409.1019139988</v>
      </c>
      <c r="E24" s="3" t="str">
        <f>IF('Income Information'!$B$4=1,"MXN","USD")</f>
        <v>USD</v>
      </c>
    </row>
    <row r="25" spans="4:5" ht="12">
      <c r="D25" s="3"/>
      <c r="E25" s="3"/>
    </row>
    <row r="26" spans="1:6" ht="12">
      <c r="A26" t="s">
        <v>49</v>
      </c>
      <c r="B26" s="9">
        <f>ROUND(10000*'Income Information'!D4,-3)</f>
        <v>10000</v>
      </c>
      <c r="C26" s="3" t="str">
        <f>IF('Income Information'!$B$4=1,"MXN","USD")</f>
        <v>USD</v>
      </c>
      <c r="D26" s="9">
        <f>B26</f>
        <v>10000</v>
      </c>
      <c r="E26" s="3" t="str">
        <f>IF('Income Information'!$B$4=1,"MXN","USD")</f>
        <v>USD</v>
      </c>
      <c r="F26" t="s">
        <v>59</v>
      </c>
    </row>
    <row r="27" spans="1:5" ht="12">
      <c r="A27" t="s">
        <v>50</v>
      </c>
      <c r="B27" s="10">
        <f>B15-B24-B26</f>
        <v>203983.6714863556</v>
      </c>
      <c r="D27" s="10">
        <f>B27+'Income Information'!B44-'Income Information'!B40</f>
        <v>230732.1114863556</v>
      </c>
      <c r="E27" s="3"/>
    </row>
    <row r="28" spans="1:5" ht="12">
      <c r="A28" t="s">
        <v>51</v>
      </c>
      <c r="B28" s="9">
        <f>B26+B27</f>
        <v>213983.6714863556</v>
      </c>
      <c r="C28" s="3" t="str">
        <f>IF('Income Information'!$B$4=1,"MXN","USD")</f>
        <v>USD</v>
      </c>
      <c r="D28" s="9">
        <f>D26+D27</f>
        <v>240732.1114863556</v>
      </c>
      <c r="E28" s="3" t="str">
        <f>IF('Income Information'!$B$4=1,"MXN","USD")</f>
        <v>USD</v>
      </c>
    </row>
    <row r="29" spans="1:5" ht="12.75" thickBot="1">
      <c r="A29" t="s">
        <v>52</v>
      </c>
      <c r="B29" s="11">
        <f>B24+B28</f>
        <v>1348829.3791666667</v>
      </c>
      <c r="C29" s="3" t="str">
        <f>IF('Income Information'!$B$4=1,"MXN","USD")</f>
        <v>USD</v>
      </c>
      <c r="D29" s="11">
        <f>D24+D28</f>
        <v>1354141.2134003544</v>
      </c>
      <c r="E29" s="3" t="str">
        <f>IF('Income Information'!$B$4=1,"MXN","USD")</f>
        <v>USD</v>
      </c>
    </row>
    <row r="30" ht="12.75" thickTop="1"/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36.57421875" style="0" bestFit="1" customWidth="1"/>
  </cols>
  <sheetData>
    <row r="1" spans="1:8" ht="12">
      <c r="A1" s="14" t="s">
        <v>92</v>
      </c>
      <c r="B1" s="14"/>
      <c r="C1" s="14"/>
      <c r="D1" s="14"/>
      <c r="E1" s="14"/>
      <c r="F1" s="14"/>
      <c r="G1" s="14"/>
      <c r="H1" s="14"/>
    </row>
    <row r="3" spans="1:8" ht="12">
      <c r="A3" t="s">
        <v>77</v>
      </c>
      <c r="B3" s="2" t="s">
        <v>78</v>
      </c>
      <c r="C3" s="4" t="s">
        <v>81</v>
      </c>
      <c r="D3" s="4" t="s">
        <v>82</v>
      </c>
      <c r="E3" s="4" t="s">
        <v>83</v>
      </c>
      <c r="F3" s="4" t="s">
        <v>84</v>
      </c>
      <c r="G3" s="4" t="s">
        <v>85</v>
      </c>
      <c r="H3" s="4" t="s">
        <v>86</v>
      </c>
    </row>
    <row r="4" spans="1:8" ht="12">
      <c r="A4" t="s">
        <v>89</v>
      </c>
      <c r="B4" s="1">
        <v>2</v>
      </c>
      <c r="C4" s="1"/>
      <c r="D4" s="1"/>
      <c r="E4" s="1"/>
      <c r="F4" s="1">
        <v>1.5</v>
      </c>
      <c r="G4" s="1">
        <v>0.5</v>
      </c>
      <c r="H4" s="1"/>
    </row>
    <row r="5" spans="1:8" ht="12">
      <c r="A5" t="s">
        <v>88</v>
      </c>
      <c r="B5" s="1">
        <f>25*'Income Information'!D4</f>
        <v>25</v>
      </c>
      <c r="C5" s="1"/>
      <c r="D5" s="1"/>
      <c r="E5" s="1"/>
      <c r="F5" s="1">
        <v>7.5</v>
      </c>
      <c r="G5" s="1">
        <v>2.5</v>
      </c>
      <c r="H5" s="1">
        <v>15</v>
      </c>
    </row>
    <row r="6" spans="1:8" ht="12">
      <c r="A6" t="s">
        <v>79</v>
      </c>
      <c r="B6" s="1">
        <f>140*'Income Information'!D4</f>
        <v>140</v>
      </c>
      <c r="C6" s="1">
        <v>80</v>
      </c>
      <c r="D6" s="1">
        <v>40</v>
      </c>
      <c r="E6" s="1">
        <v>20</v>
      </c>
      <c r="F6" s="1"/>
      <c r="G6" s="1"/>
      <c r="H6" s="1"/>
    </row>
    <row r="7" spans="1:8" ht="12">
      <c r="A7" t="s">
        <v>80</v>
      </c>
      <c r="B7" s="1">
        <f>250*'Income Information'!D4</f>
        <v>250</v>
      </c>
      <c r="C7" s="1">
        <v>160</v>
      </c>
      <c r="D7" s="1">
        <v>60</v>
      </c>
      <c r="E7" s="1">
        <v>30</v>
      </c>
      <c r="F7" s="1"/>
      <c r="G7" s="1"/>
      <c r="H7" s="1"/>
    </row>
    <row r="8" ht="12">
      <c r="B8" s="1"/>
    </row>
    <row r="9" spans="1:2" ht="12">
      <c r="A9" t="s">
        <v>90</v>
      </c>
      <c r="B9" s="1">
        <v>27.5</v>
      </c>
    </row>
    <row r="10" spans="1:2" ht="12">
      <c r="A10" t="s">
        <v>91</v>
      </c>
      <c r="B10" s="1">
        <v>10</v>
      </c>
    </row>
    <row r="11" ht="12">
      <c r="B11" s="5"/>
    </row>
    <row r="12" spans="1:2" ht="12">
      <c r="A12" t="s">
        <v>94</v>
      </c>
      <c r="B12" s="3">
        <f>B13/5</f>
        <v>62.040000000000006</v>
      </c>
    </row>
    <row r="13" spans="1:2" ht="12">
      <c r="A13" t="s">
        <v>93</v>
      </c>
      <c r="B13" s="3">
        <f>1/10*('Income Information'!B10+'Income Information'!B11)</f>
        <v>310.20000000000005</v>
      </c>
    </row>
    <row r="14" ht="12">
      <c r="B14" s="3"/>
    </row>
    <row r="15" spans="1:6" ht="12">
      <c r="A15" t="s">
        <v>95</v>
      </c>
      <c r="B15" s="3"/>
      <c r="C15" s="4"/>
      <c r="D15" s="4"/>
      <c r="E15" s="4"/>
      <c r="F15" s="4"/>
    </row>
    <row r="16" spans="1:2" ht="12">
      <c r="A16" t="s">
        <v>87</v>
      </c>
      <c r="B16" s="3">
        <f>3*B12</f>
        <v>186.12</v>
      </c>
    </row>
    <row r="17" spans="1:2" ht="12">
      <c r="A17" t="s">
        <v>96</v>
      </c>
      <c r="B17" s="3">
        <f>1.5*B13</f>
        <v>465.30000000000007</v>
      </c>
    </row>
    <row r="18" spans="1:2" ht="12">
      <c r="A18" t="s">
        <v>1</v>
      </c>
      <c r="B18" s="3">
        <f>2*'Income Information'!B10</f>
        <v>5170</v>
      </c>
    </row>
    <row r="19" spans="1:2" ht="12">
      <c r="A19" t="s">
        <v>2</v>
      </c>
      <c r="B19" s="3">
        <f>2*'Income Information'!B11</f>
        <v>1034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Apollo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whberry</dc:creator>
  <cp:keywords/>
  <dc:description/>
  <cp:lastModifiedBy>georg_000</cp:lastModifiedBy>
  <cp:lastPrinted>2007-06-20T23:39:01Z</cp:lastPrinted>
  <dcterms:created xsi:type="dcterms:W3CDTF">2007-06-19T16:39:53Z</dcterms:created>
  <dcterms:modified xsi:type="dcterms:W3CDTF">2016-08-16T06:17:39Z</dcterms:modified>
  <cp:category/>
  <cp:version/>
  <cp:contentType/>
  <cp:contentStatus/>
</cp:coreProperties>
</file>